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31\"/>
    </mc:Choice>
  </mc:AlternateContent>
  <bookViews>
    <workbookView xWindow="0" yWindow="0" windowWidth="19305" windowHeight="8085"/>
  </bookViews>
  <sheets>
    <sheet name="CT3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H17" i="1" s="1"/>
  <c r="F2" i="1"/>
  <c r="H2" i="1" l="1"/>
  <c r="H14" i="1"/>
  <c r="H10" i="1"/>
  <c r="H6" i="1"/>
  <c r="H13" i="1"/>
  <c r="H9" i="1"/>
  <c r="H5" i="1"/>
  <c r="H16" i="1"/>
  <c r="H12" i="1"/>
  <c r="H8" i="1"/>
  <c r="H4" i="1"/>
  <c r="H15" i="1"/>
  <c r="H11" i="1"/>
  <c r="H7" i="1"/>
  <c r="H3" i="1"/>
  <c r="AE3" i="1"/>
  <c r="AE9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AA10" i="1" l="1"/>
  <c r="AA13" i="1"/>
  <c r="AB13" i="1" s="1"/>
  <c r="AA8" i="1"/>
  <c r="AB8" i="1" s="1"/>
  <c r="AA11" i="1"/>
  <c r="AB11" i="1" s="1"/>
  <c r="AA16" i="1"/>
  <c r="AA4" i="1"/>
  <c r="AB4" i="1" s="1"/>
  <c r="AA2" i="1"/>
  <c r="AB2" i="1" s="1"/>
  <c r="AA3" i="1"/>
  <c r="AB3" i="1" s="1"/>
  <c r="AA9" i="1"/>
  <c r="AA14" i="1"/>
  <c r="AB14" i="1" s="1"/>
  <c r="AA5" i="1"/>
  <c r="AB5" i="1" s="1"/>
  <c r="AA15" i="1"/>
  <c r="AB15" i="1" s="1"/>
  <c r="AA6" i="1"/>
  <c r="AA12" i="1"/>
  <c r="AA7" i="1"/>
  <c r="AB7" i="1" s="1"/>
  <c r="AB12" i="1"/>
  <c r="AB10" i="1"/>
  <c r="AB16" i="1"/>
  <c r="AB6" i="1"/>
  <c r="AB9" i="1"/>
  <c r="K7" i="1"/>
  <c r="K12" i="1"/>
  <c r="K5" i="1"/>
  <c r="K16" i="1"/>
  <c r="K4" i="1"/>
  <c r="K17" i="1"/>
  <c r="K6" i="1"/>
  <c r="K15" i="1"/>
  <c r="K13" i="1"/>
  <c r="K10" i="1"/>
  <c r="K2" i="1"/>
  <c r="K14" i="1"/>
  <c r="K8" i="1"/>
  <c r="K11" i="1"/>
  <c r="K3" i="1"/>
  <c r="K9" i="1"/>
  <c r="L9" i="1" l="1"/>
  <c r="M9" i="1"/>
  <c r="N9" i="1" s="1"/>
  <c r="L17" i="1"/>
  <c r="M17" i="1"/>
  <c r="L3" i="1"/>
  <c r="M3" i="1"/>
  <c r="L5" i="1"/>
  <c r="M5" i="1"/>
  <c r="L13" i="1"/>
  <c r="M13" i="1"/>
  <c r="L7" i="1"/>
  <c r="M7" i="1"/>
  <c r="N7" i="1" s="1"/>
  <c r="L14" i="1"/>
  <c r="M14" i="1"/>
  <c r="N14" i="1" s="1"/>
  <c r="L11" i="1"/>
  <c r="M11" i="1"/>
  <c r="N11" i="1" s="1"/>
  <c r="L15" i="1"/>
  <c r="M15" i="1"/>
  <c r="L16" i="1"/>
  <c r="M16" i="1"/>
  <c r="N16" i="1" s="1"/>
  <c r="L2" i="1"/>
  <c r="M2" i="1"/>
  <c r="L8" i="1"/>
  <c r="M8" i="1"/>
  <c r="L10" i="1"/>
  <c r="M10" i="1"/>
  <c r="L6" i="1"/>
  <c r="M6" i="1"/>
  <c r="L4" i="1"/>
  <c r="M4" i="1"/>
  <c r="N4" i="1" s="1"/>
  <c r="L12" i="1"/>
  <c r="M12" i="1"/>
  <c r="X6" i="1" l="1"/>
  <c r="AC6" i="1" s="1"/>
  <c r="N6" i="1"/>
  <c r="X17" i="1"/>
  <c r="N17" i="1"/>
  <c r="U17" i="1" s="1"/>
  <c r="X15" i="1"/>
  <c r="N15" i="1"/>
  <c r="X12" i="1"/>
  <c r="N12" i="1"/>
  <c r="X8" i="1"/>
  <c r="N8" i="1"/>
  <c r="X5" i="1"/>
  <c r="N5" i="1"/>
  <c r="X10" i="1"/>
  <c r="AC10" i="1" s="1"/>
  <c r="N10" i="1"/>
  <c r="X2" i="1"/>
  <c r="N2" i="1"/>
  <c r="X13" i="1"/>
  <c r="AC13" i="1" s="1"/>
  <c r="N13" i="1"/>
  <c r="X3" i="1"/>
  <c r="N3" i="1"/>
  <c r="X4" i="1"/>
  <c r="X11" i="1"/>
  <c r="X7" i="1"/>
  <c r="X9" i="1"/>
  <c r="X16" i="1"/>
  <c r="T14" i="1"/>
  <c r="U14" i="1" s="1"/>
  <c r="X14" i="1"/>
  <c r="T12" i="1"/>
  <c r="U12" i="1" s="1"/>
  <c r="O12" i="1"/>
  <c r="Q12" i="1" s="1"/>
  <c r="T10" i="1"/>
  <c r="U10" i="1" s="1"/>
  <c r="O10" i="1"/>
  <c r="P10" i="1" s="1"/>
  <c r="T16" i="1"/>
  <c r="U16" i="1" s="1"/>
  <c r="O16" i="1"/>
  <c r="P16" i="1" s="1"/>
  <c r="O6" i="1"/>
  <c r="P6" i="1" s="1"/>
  <c r="Q6" i="1"/>
  <c r="T6" i="1"/>
  <c r="U6" i="1" s="1"/>
  <c r="T15" i="1"/>
  <c r="U15" i="1" s="1"/>
  <c r="O15" i="1"/>
  <c r="P15" i="1" s="1"/>
  <c r="Q15" i="1"/>
  <c r="O14" i="1"/>
  <c r="T13" i="1"/>
  <c r="U13" i="1" s="1"/>
  <c r="O13" i="1"/>
  <c r="P13" i="1" s="1"/>
  <c r="O17" i="1"/>
  <c r="P17" i="1" s="1"/>
  <c r="O8" i="1"/>
  <c r="P8" i="1" s="1"/>
  <c r="T8" i="1"/>
  <c r="U8" i="1" s="1"/>
  <c r="O2" i="1"/>
  <c r="T2" i="1"/>
  <c r="U2" i="1" s="1"/>
  <c r="W2" i="1" s="1"/>
  <c r="T3" i="1"/>
  <c r="O3" i="1"/>
  <c r="O5" i="1"/>
  <c r="T5" i="1"/>
  <c r="U5" i="1" s="1"/>
  <c r="O4" i="1"/>
  <c r="T4" i="1"/>
  <c r="U4" i="1" s="1"/>
  <c r="T11" i="1"/>
  <c r="U11" i="1" s="1"/>
  <c r="O11" i="1"/>
  <c r="P11" i="1" s="1"/>
  <c r="T7" i="1"/>
  <c r="U7" i="1" s="1"/>
  <c r="O7" i="1"/>
  <c r="T9" i="1"/>
  <c r="U9" i="1" s="1"/>
  <c r="O9" i="1"/>
  <c r="P9" i="1" s="1"/>
  <c r="AC5" i="1"/>
  <c r="AC8" i="1"/>
  <c r="P2" i="1" l="1"/>
  <c r="AC14" i="1"/>
  <c r="Y14" i="1"/>
  <c r="Z14" i="1" s="1"/>
  <c r="AC7" i="1"/>
  <c r="Y7" i="1"/>
  <c r="Z7" i="1" s="1"/>
  <c r="Y3" i="1"/>
  <c r="Z3" i="1" s="1"/>
  <c r="X23" i="1"/>
  <c r="Y2" i="1"/>
  <c r="Z2" i="1" s="1"/>
  <c r="AC2" i="1"/>
  <c r="Y5" i="1"/>
  <c r="Z5" i="1" s="1"/>
  <c r="Y12" i="1"/>
  <c r="Z12" i="1" s="1"/>
  <c r="AC12" i="1"/>
  <c r="AC9" i="1"/>
  <c r="Y9" i="1"/>
  <c r="Z9" i="1" s="1"/>
  <c r="Q7" i="1"/>
  <c r="P7" i="1"/>
  <c r="W14" i="1"/>
  <c r="AC11" i="1"/>
  <c r="Y11" i="1"/>
  <c r="Z11" i="1" s="1"/>
  <c r="P5" i="1"/>
  <c r="W5" i="1"/>
  <c r="P3" i="1"/>
  <c r="W7" i="1"/>
  <c r="Q4" i="1"/>
  <c r="P4" i="1"/>
  <c r="U3" i="1"/>
  <c r="W3" i="1" s="1"/>
  <c r="Q14" i="1"/>
  <c r="P14" i="1"/>
  <c r="W16" i="1"/>
  <c r="P12" i="1"/>
  <c r="AC16" i="1"/>
  <c r="Y16" i="1"/>
  <c r="Z16" i="1" s="1"/>
  <c r="AC4" i="1"/>
  <c r="Y4" i="1"/>
  <c r="Z4" i="1" s="1"/>
  <c r="Y13" i="1"/>
  <c r="Z13" i="1" s="1"/>
  <c r="Y10" i="1"/>
  <c r="Z10" i="1" s="1"/>
  <c r="Y8" i="1"/>
  <c r="Z8" i="1" s="1"/>
  <c r="AC15" i="1"/>
  <c r="Y15" i="1"/>
  <c r="Z15" i="1" s="1"/>
  <c r="Y6" i="1"/>
  <c r="Z6" i="1" s="1"/>
  <c r="V2" i="1"/>
  <c r="V7" i="1"/>
  <c r="Q16" i="1"/>
  <c r="Q9" i="1"/>
  <c r="Q2" i="1"/>
  <c r="Q10" i="1"/>
  <c r="Q13" i="1"/>
  <c r="Q5" i="1"/>
  <c r="Q11" i="1"/>
  <c r="Q3" i="1"/>
  <c r="Q8" i="1"/>
  <c r="Q17" i="1"/>
  <c r="V13" i="1"/>
  <c r="V15" i="1"/>
  <c r="V6" i="1"/>
  <c r="V9" i="1"/>
  <c r="V14" i="1"/>
  <c r="V5" i="1"/>
  <c r="V11" i="1"/>
  <c r="V3" i="1"/>
  <c r="V12" i="1"/>
  <c r="V16" i="1"/>
  <c r="V10" i="1"/>
  <c r="V8" i="1"/>
  <c r="V4" i="1"/>
  <c r="AC3" i="1"/>
  <c r="W15" i="1" l="1"/>
  <c r="W9" i="1"/>
  <c r="W6" i="1"/>
  <c r="W4" i="1"/>
  <c r="W12" i="1"/>
  <c r="AC23" i="1"/>
  <c r="W8" i="1"/>
  <c r="W11" i="1"/>
  <c r="W13" i="1"/>
  <c r="W10" i="1"/>
  <c r="Y23" i="1"/>
</calcChain>
</file>

<file path=xl/sharedStrings.xml><?xml version="1.0" encoding="utf-8"?>
<sst xmlns="http://schemas.openxmlformats.org/spreadsheetml/2006/main" count="50" uniqueCount="50">
  <si>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</si>
  <si>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</si>
  <si>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</si>
  <si>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</si>
  <si>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</si>
  <si>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</si>
  <si>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</si>
  <si>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</si>
  <si>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</si>
  <si>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</si>
  <si>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</si>
  <si>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of eluate (g)</t>
  </si>
  <si>
    <t>Weight Corrected Sr-90 Activity (DPM)</t>
  </si>
  <si>
    <t>Cumulative Activity (DPM)</t>
  </si>
  <si>
    <t>1 ml/min</t>
  </si>
  <si>
    <t>Decay constant of sr-90=</t>
  </si>
  <si>
    <t>Time from 19.07.2018</t>
  </si>
  <si>
    <t>DC factor</t>
  </si>
  <si>
    <t>CT31 1 mL</t>
  </si>
  <si>
    <t>CT31 2 mL</t>
  </si>
  <si>
    <t>CT31 3 mL</t>
  </si>
  <si>
    <t>CT31 4 mL</t>
  </si>
  <si>
    <t>CT31 5 mL</t>
  </si>
  <si>
    <t>CT31 6 mL</t>
  </si>
  <si>
    <t>CT31 7 mL</t>
  </si>
  <si>
    <t>CT31 8 mL</t>
  </si>
  <si>
    <t>CT31 9 mL</t>
  </si>
  <si>
    <t>CT31 10 mL</t>
  </si>
  <si>
    <t>CT31 11 mL</t>
  </si>
  <si>
    <t>CT31 12 mL</t>
  </si>
  <si>
    <t>CT31 13 mL</t>
  </si>
  <si>
    <t>CT31 14 mL</t>
  </si>
  <si>
    <t>CT31 15 mL</t>
  </si>
  <si>
    <t>DC to 13.09.2018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</si>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</sst>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2" fontId="0" fillId="0" borderId="0" xfId="0" applyNumberFormat="1"/>
    <xf numFmtId="0" fontId="0" fillId="0" borderId="0" xfId="0" applyFill="1" applyBorder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0" xfId="0" applyFill="1"/>
    <xf numFmtId="0" fontId="0" fillId="0" borderId="2" xfId="0" applyBorder="1"/>
    <xf numFmtId="0" fontId="0" fillId="3" borderId="1" xfId="0" applyFill="1" applyBorder="1"/>
    <xf numFmtId="0" fontId="1" fillId="3" borderId="0" xfId="0" applyFont="1" applyFill="1"/>
    <xf numFmtId="0" fontId="0" fillId="0" borderId="1" xfId="0" applyBorder="1"/>
    <xf numFmtId="22" fontId="0" fillId="0" borderId="1" xfId="0" applyNumberFormat="1" applyBorder="1"/>
    <xf numFmtId="2" fontId="0" fillId="0" borderId="1" xfId="0" applyNumberFormat="1" applyBorder="1"/>
    <xf numFmtId="2" fontId="0" fillId="3" borderId="1" xfId="0" applyNumberFormat="1" applyFill="1" applyBorder="1"/>
    <xf numFmtId="164" fontId="0" fillId="0" borderId="1" xfId="0" applyNumberFormat="1" applyBorder="1"/>
    <xf numFmtId="166" fontId="0" fillId="3" borderId="1" xfId="0" applyNumberFormat="1" applyFill="1" applyBorder="1"/>
    <xf numFmtId="165" fontId="0" fillId="0" borderId="1" xfId="0" applyNumberFormat="1" applyBorder="1"/>
    <xf numFmtId="22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9" xfId="0" applyNumberFormat="1" applyBorder="1"/>
    <xf numFmtId="22" fontId="0" fillId="0" borderId="3" xfId="0" applyNumberFormat="1" applyBorder="1"/>
    <xf numFmtId="2" fontId="0" fillId="0" borderId="3" xfId="0" applyNumberFormat="1" applyBorder="1"/>
    <xf numFmtId="2" fontId="0" fillId="3" borderId="3" xfId="0" applyNumberFormat="1" applyFill="1" applyBorder="1"/>
    <xf numFmtId="0" fontId="0" fillId="0" borderId="3" xfId="0" applyBorder="1"/>
    <xf numFmtId="164" fontId="0" fillId="0" borderId="3" xfId="0" applyNumberFormat="1" applyBorder="1"/>
    <xf numFmtId="166" fontId="0" fillId="3" borderId="3" xfId="0" applyNumberFormat="1" applyFill="1" applyBorder="1"/>
    <xf numFmtId="165" fontId="0" fillId="0" borderId="3" xfId="0" applyNumberFormat="1" applyBorder="1"/>
    <xf numFmtId="0" fontId="0" fillId="0" borderId="4" xfId="0" applyBorder="1"/>
    <xf numFmtId="0" fontId="0" fillId="0" borderId="10" xfId="0" applyBorder="1"/>
    <xf numFmtId="0" fontId="0" fillId="0" borderId="2" xfId="0" applyFill="1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topLeftCell="J1" zoomScale="60" zoomScaleNormal="60" workbookViewId="0">
      <selection activeCell="Y23" sqref="Y23"/>
    </sheetView>
  </sheetViews>
  <sheetFormatPr defaultRowHeight="15" x14ac:dyDescent="0.25"/>
  <cols>
    <col min="1" max="1" width="15.42578125" bestFit="1" customWidth="1"/>
    <col min="2" max="2" width="17" bestFit="1" customWidth="1"/>
    <col min="3" max="3" width="18" bestFit="1" customWidth="1"/>
    <col min="4" max="4" width="25.5703125" bestFit="1" customWidth="1"/>
    <col min="5" max="5" width="23.28515625" style="6" bestFit="1" customWidth="1"/>
    <col min="6" max="6" width="21.140625" style="6" bestFit="1" customWidth="1"/>
    <col min="7" max="7" width="36.85546875" bestFit="1" customWidth="1"/>
    <col min="8" max="8" width="32.5703125" style="6" bestFit="1" customWidth="1"/>
    <col min="9" max="9" width="19.85546875" bestFit="1" customWidth="1"/>
    <col min="10" max="10" width="21.85546875" style="6" bestFit="1" customWidth="1"/>
    <col min="11" max="11" width="16.5703125" bestFit="1" customWidth="1"/>
    <col min="12" max="12" width="18.28515625" style="6" bestFit="1" customWidth="1"/>
    <col min="13" max="13" width="15.42578125" bestFit="1" customWidth="1"/>
    <col min="14" max="14" width="17.28515625" style="6" bestFit="1" customWidth="1"/>
    <col min="15" max="15" width="15.42578125" bestFit="1" customWidth="1"/>
    <col min="16" max="16" width="16.5703125" style="6" bestFit="1" customWidth="1"/>
    <col min="17" max="17" width="12.7109375" bestFit="1" customWidth="1"/>
    <col min="18" max="18" width="20.5703125" bestFit="1" customWidth="1"/>
    <col min="19" max="19" width="22.7109375" style="6" bestFit="1" customWidth="1"/>
    <col min="20" max="20" width="41.140625" bestFit="1" customWidth="1"/>
    <col min="21" max="21" width="42.7109375" style="6" bestFit="1" customWidth="1"/>
    <col min="22" max="22" width="28.7109375" bestFit="1" customWidth="1"/>
    <col min="23" max="23" width="30.42578125" style="6" bestFit="1" customWidth="1"/>
    <col min="24" max="24" width="15.42578125" bestFit="1" customWidth="1"/>
    <col min="25" max="25" width="15.42578125" style="6" bestFit="1" customWidth="1"/>
    <col min="26" max="26" width="18.28515625" style="6" bestFit="1" customWidth="1"/>
    <col min="27" max="27" width="22.28515625" bestFit="1" customWidth="1"/>
    <col min="28" max="28" width="12.7109375" bestFit="1" customWidth="1"/>
    <col min="29" max="29" width="17.7109375" bestFit="1" customWidth="1"/>
    <col min="30" max="30" width="24.7109375" customWidth="1"/>
    <col min="31" max="31" width="22.140625" bestFit="1" customWidth="1"/>
  </cols>
  <sheetData>
    <row r="1" spans="1:31" ht="15.75" thickBot="1" x14ac:dyDescent="0.3">
      <c r="A1" s="29" t="s">
        <v>2</v>
      </c>
      <c r="B1" s="30" t="s">
        <v>4</v>
      </c>
      <c r="C1" s="7" t="s">
        <v>3</v>
      </c>
      <c r="D1" s="7" t="s">
        <v>34</v>
      </c>
      <c r="E1" s="4" t="s">
        <v>35</v>
      </c>
      <c r="F1" s="4" t="s">
        <v>36</v>
      </c>
      <c r="G1" s="7" t="s">
        <v>9</v>
      </c>
      <c r="H1" s="4" t="s">
        <v>37</v>
      </c>
      <c r="I1" s="7" t="s">
        <v>0</v>
      </c>
      <c r="J1" s="4" t="s">
        <v>38</v>
      </c>
      <c r="K1" s="7" t="s">
        <v>5</v>
      </c>
      <c r="L1" s="4" t="s">
        <v>39</v>
      </c>
      <c r="M1" s="7" t="s">
        <v>6</v>
      </c>
      <c r="N1" s="4" t="s">
        <v>40</v>
      </c>
      <c r="O1" s="7" t="s">
        <v>7</v>
      </c>
      <c r="P1" s="4" t="s">
        <v>41</v>
      </c>
      <c r="Q1" s="7" t="s">
        <v>8</v>
      </c>
      <c r="R1" s="7" t="s">
        <v>11</v>
      </c>
      <c r="S1" s="4" t="s">
        <v>42</v>
      </c>
      <c r="T1" s="31" t="s">
        <v>12</v>
      </c>
      <c r="U1" s="4" t="s">
        <v>43</v>
      </c>
      <c r="V1" s="31" t="s">
        <v>13</v>
      </c>
      <c r="W1" s="4" t="s">
        <v>44</v>
      </c>
      <c r="X1" s="7" t="s">
        <v>45</v>
      </c>
      <c r="Y1" s="4" t="s">
        <v>46</v>
      </c>
      <c r="Z1" s="4" t="s">
        <v>47</v>
      </c>
      <c r="AA1" s="7" t="s">
        <v>16</v>
      </c>
      <c r="AB1" s="7" t="s">
        <v>17</v>
      </c>
      <c r="AC1" s="32" t="s">
        <v>33</v>
      </c>
      <c r="AD1" s="2"/>
    </row>
    <row r="2" spans="1:31" x14ac:dyDescent="0.25">
      <c r="A2" s="20" t="s">
        <v>18</v>
      </c>
      <c r="B2" s="21">
        <v>43362.458333333336</v>
      </c>
      <c r="C2" s="22">
        <v>43362.78402777778</v>
      </c>
      <c r="D2" s="23">
        <v>8.39</v>
      </c>
      <c r="E2" s="24">
        <v>6.38</v>
      </c>
      <c r="F2" s="5">
        <f>D2*(E2/100)</f>
        <v>0.53528200000000004</v>
      </c>
      <c r="G2" s="25">
        <f>D2-$D$17</f>
        <v>0.21000000000000085</v>
      </c>
      <c r="H2" s="5">
        <f>SQRT((F2^2)+(F$17^2))</f>
        <v>0.7515977192780724</v>
      </c>
      <c r="I2" s="26">
        <f>(C2-B2)*24</f>
        <v>7.8166666666511446</v>
      </c>
      <c r="J2" s="27">
        <f>1/60</f>
        <v>1.6666666666666666E-2</v>
      </c>
      <c r="K2" s="25">
        <f>1-EXP(-$AE$3*I2)</f>
        <v>8.4461331810753326E-2</v>
      </c>
      <c r="L2" s="5">
        <f>K2*SQRT(((J2/I2)^2))</f>
        <v>1.8008812752861629E-4</v>
      </c>
      <c r="M2" s="25">
        <f>G2/((1+K2))</f>
        <v>0.19364452548009103</v>
      </c>
      <c r="N2" s="5">
        <f>M2*SQRT(((H2/G2)^2)+((L2/K2)^2))</f>
        <v>0.69306099775731644</v>
      </c>
      <c r="O2" s="25">
        <f>M2*K2</f>
        <v>1.6355474519909846E-2</v>
      </c>
      <c r="P2" s="5">
        <f>O2*SQRT(((N2/M2)^2)+((L2/K2)^2))</f>
        <v>5.8536865284415401E-2</v>
      </c>
      <c r="Q2" s="25">
        <f>M2+O2</f>
        <v>0.21000000000000088</v>
      </c>
      <c r="R2" s="25">
        <v>1.0107999999999997</v>
      </c>
      <c r="S2" s="5">
        <v>1.4142135623730951E-4</v>
      </c>
      <c r="T2" s="25">
        <f>M2/R2</f>
        <v>0.19157550997238929</v>
      </c>
      <c r="U2" s="5">
        <f>T2*SQRT(((S2/R2)^2)+((N2/M2)^2))</f>
        <v>0.6856559144112272</v>
      </c>
      <c r="V2" s="25">
        <f>SUM($T$2:T2)</f>
        <v>0.19157550997238929</v>
      </c>
      <c r="W2" s="5">
        <f>SQRT((U2^2))</f>
        <v>0.6856559144112272</v>
      </c>
      <c r="X2" s="25">
        <f>M2/60</f>
        <v>3.2274087580015172E-3</v>
      </c>
      <c r="Y2" s="5">
        <f>X2*SQRT(((N2/M2)^2))</f>
        <v>1.1551016629288606E-2</v>
      </c>
      <c r="Z2" s="5">
        <f>Y2^2</f>
        <v>1.3342598517010191E-4</v>
      </c>
      <c r="AA2" s="25">
        <f>(C2-$AE$6)*24</f>
        <v>150.81666666670935</v>
      </c>
      <c r="AB2" s="28">
        <f>EXP(-$AE$9*AA2)</f>
        <v>0.99958572547231628</v>
      </c>
      <c r="AC2" s="25">
        <f>X2/AB2</f>
        <v>3.2287463453687555E-3</v>
      </c>
      <c r="AE2" t="s">
        <v>1</v>
      </c>
    </row>
    <row r="3" spans="1:31" x14ac:dyDescent="0.25">
      <c r="A3" s="18" t="s">
        <v>19</v>
      </c>
      <c r="B3" s="17">
        <v>43362.458333333336</v>
      </c>
      <c r="C3" s="11">
        <v>43362.806250000001</v>
      </c>
      <c r="D3" s="12">
        <v>8.9</v>
      </c>
      <c r="E3" s="13">
        <v>6.19</v>
      </c>
      <c r="F3" s="8">
        <f t="shared" ref="F3:F17" si="0">D3*(E3/100)</f>
        <v>0.55091000000000001</v>
      </c>
      <c r="G3" s="10">
        <f t="shared" ref="G3:G17" si="1">D3-$D$17</f>
        <v>0.72000000000000064</v>
      </c>
      <c r="H3" s="8">
        <f t="shared" ref="H3:H17" si="2">SQRT((F3^2)+(F$17^2))</f>
        <v>0.7628067515432726</v>
      </c>
      <c r="I3" s="14">
        <f t="shared" ref="I3:I17" si="3">(C3-B3)*24</f>
        <v>8.3499999999767169</v>
      </c>
      <c r="J3" s="15">
        <f t="shared" ref="J3:J17" si="4">1/60</f>
        <v>1.6666666666666666E-2</v>
      </c>
      <c r="K3" s="10">
        <f>1-EXP(-$AE$3*I3)</f>
        <v>8.9957066522970308E-2</v>
      </c>
      <c r="L3" s="8">
        <f t="shared" ref="L3:L17" si="5">K3*SQRT(((J3/I3)^2))</f>
        <v>1.7955502300044142E-4</v>
      </c>
      <c r="M3" s="10">
        <f>G3/((1+K3))</f>
        <v>0.6605764778394847</v>
      </c>
      <c r="N3" s="8">
        <f t="shared" ref="N3:N17" si="6">M3*SQRT(((H3/G3)^2)+((L3/K3)^2))</f>
        <v>0.69985151593712358</v>
      </c>
      <c r="O3" s="10">
        <f>M3*K3</f>
        <v>5.9423522160515947E-2</v>
      </c>
      <c r="P3" s="8">
        <f t="shared" ref="P3:P17" si="7">O3*SQRT(((N3/M3)^2)+((L3/K3)^2))</f>
        <v>6.2956701105346041E-2</v>
      </c>
      <c r="Q3" s="10">
        <f>M3+O3</f>
        <v>0.72000000000000064</v>
      </c>
      <c r="R3" s="10">
        <v>1.0112999999999994</v>
      </c>
      <c r="S3" s="8">
        <v>1.4142135623730951E-4</v>
      </c>
      <c r="T3" s="10">
        <f>M3/R3</f>
        <v>0.65319537015671425</v>
      </c>
      <c r="U3" s="8">
        <f t="shared" ref="U3:U17" si="8">T3*SQRT(((S3/R3)^2)+((N3/M3)^2))</f>
        <v>0.69203156534521904</v>
      </c>
      <c r="V3" s="10">
        <f>SUM($T$2:T3)</f>
        <v>0.84477088012910351</v>
      </c>
      <c r="W3" s="8">
        <f>SQRT((U3^2)+(U2^2))</f>
        <v>0.97418259089415593</v>
      </c>
      <c r="X3" s="10">
        <f t="shared" ref="X3:X17" si="9">M3/60</f>
        <v>1.1009607963991412E-2</v>
      </c>
      <c r="Y3" s="8">
        <f t="shared" ref="Y3:Y16" si="10">X3*SQRT(((N3/M3)^2))</f>
        <v>1.1664191932285394E-2</v>
      </c>
      <c r="Z3" s="8">
        <f t="shared" ref="Z3:Z16" si="11">Y3^2</f>
        <v>1.3605337343319167E-4</v>
      </c>
      <c r="AA3" s="10">
        <f>(C3-$AE$6)*24</f>
        <v>151.35000000003492</v>
      </c>
      <c r="AB3" s="16">
        <f t="shared" ref="AB3:AB16" si="12">EXP(-$AE$9*AA3)</f>
        <v>0.99958426077689999</v>
      </c>
      <c r="AC3" s="10">
        <f t="shared" ref="AC3:AC16" si="13">X3/AB3</f>
        <v>1.1014186993535183E-2</v>
      </c>
      <c r="AE3">
        <f>LN(2)/61.4</f>
        <v>1.1289042028663604E-2</v>
      </c>
    </row>
    <row r="4" spans="1:31" x14ac:dyDescent="0.25">
      <c r="A4" s="18" t="s">
        <v>20</v>
      </c>
      <c r="B4" s="17">
        <v>43362.458333333336</v>
      </c>
      <c r="C4" s="11">
        <v>43362.82916666667</v>
      </c>
      <c r="D4" s="12">
        <v>8.32</v>
      </c>
      <c r="E4" s="13">
        <v>6.4</v>
      </c>
      <c r="F4" s="8">
        <f t="shared" si="0"/>
        <v>0.53248000000000006</v>
      </c>
      <c r="G4" s="10">
        <f t="shared" si="1"/>
        <v>0.14000000000000057</v>
      </c>
      <c r="H4" s="8">
        <f t="shared" si="2"/>
        <v>0.74960473751171031</v>
      </c>
      <c r="I4" s="14">
        <f t="shared" si="3"/>
        <v>8.9000000000232831</v>
      </c>
      <c r="J4" s="15">
        <f t="shared" si="4"/>
        <v>1.6666666666666666E-2</v>
      </c>
      <c r="K4" s="10">
        <f>1-EXP(-$AE$3*I4)</f>
        <v>9.5589993190080769E-2</v>
      </c>
      <c r="L4" s="8">
        <f t="shared" si="5"/>
        <v>1.7900747788357808E-4</v>
      </c>
      <c r="M4" s="10">
        <f>G4/((1+K4))</f>
        <v>0.1277850298653751</v>
      </c>
      <c r="N4" s="8">
        <f t="shared" si="6"/>
        <v>0.68420192591946083</v>
      </c>
      <c r="O4" s="10">
        <f>M4*K4</f>
        <v>1.2214970134625473E-2</v>
      </c>
      <c r="P4" s="8">
        <f t="shared" si="7"/>
        <v>6.540286143942492E-2</v>
      </c>
      <c r="Q4" s="10">
        <f>M4+O4</f>
        <v>0.14000000000000057</v>
      </c>
      <c r="R4" s="10">
        <v>0.96340000000000003</v>
      </c>
      <c r="S4" s="8">
        <v>1.4142135623730951E-4</v>
      </c>
      <c r="T4" s="10">
        <f>M4/R4</f>
        <v>0.13263964071556478</v>
      </c>
      <c r="U4" s="8">
        <f t="shared" si="8"/>
        <v>0.71019506557670398</v>
      </c>
      <c r="V4" s="10">
        <f>SUM($T$2:T4)</f>
        <v>0.97741052084466828</v>
      </c>
      <c r="W4" s="8">
        <f>SQRT((U4^2)+(U3^2)+(U2^2))</f>
        <v>1.2055740340479921</v>
      </c>
      <c r="X4" s="10">
        <f t="shared" si="9"/>
        <v>2.1297504977562517E-3</v>
      </c>
      <c r="Y4" s="8">
        <f t="shared" si="10"/>
        <v>1.1403365431991015E-2</v>
      </c>
      <c r="Z4" s="8">
        <f t="shared" si="11"/>
        <v>1.3003674317552761E-4</v>
      </c>
      <c r="AA4" s="10">
        <f>(C4-$AE$6)*24</f>
        <v>151.90000000008149</v>
      </c>
      <c r="AB4" s="16">
        <f t="shared" si="12"/>
        <v>0.99958275031199972</v>
      </c>
      <c r="AC4" s="10">
        <f t="shared" si="13"/>
        <v>2.1306395064255488E-3</v>
      </c>
    </row>
    <row r="5" spans="1:31" x14ac:dyDescent="0.25">
      <c r="A5" s="18" t="s">
        <v>21</v>
      </c>
      <c r="B5" s="17">
        <v>43362.458333333336</v>
      </c>
      <c r="C5" s="11">
        <v>43362.852083333331</v>
      </c>
      <c r="D5" s="12">
        <v>7.77</v>
      </c>
      <c r="E5" s="13">
        <v>6.62</v>
      </c>
      <c r="F5" s="8">
        <f t="shared" si="0"/>
        <v>0.51437399999999989</v>
      </c>
      <c r="G5" s="10">
        <f t="shared" si="1"/>
        <v>-0.41000000000000014</v>
      </c>
      <c r="H5" s="8">
        <f t="shared" si="2"/>
        <v>0.73685339381453618</v>
      </c>
      <c r="I5" s="14">
        <f t="shared" si="3"/>
        <v>9.4499999998952262</v>
      </c>
      <c r="J5" s="15">
        <f t="shared" si="4"/>
        <v>1.6666666666666666E-2</v>
      </c>
      <c r="K5" s="10">
        <f>1-EXP(-$AE$3*I5)</f>
        <v>0.10118805351926119</v>
      </c>
      <c r="L5" s="8">
        <f t="shared" si="5"/>
        <v>1.7846217552095782E-4</v>
      </c>
      <c r="M5" s="10">
        <f>G5/((1+K5))</f>
        <v>-0.37232514345727846</v>
      </c>
      <c r="N5" s="8">
        <f t="shared" si="6"/>
        <v>-0.66914433576099441</v>
      </c>
      <c r="O5" s="10">
        <f>M5*K5</f>
        <v>-3.7674856542721694E-2</v>
      </c>
      <c r="P5" s="8">
        <f>O5*SQRT(((N5/M5)^2)+((L5/K5)^2))</f>
        <v>-6.7709445462122861E-2</v>
      </c>
      <c r="Q5" s="10">
        <f>M5+O5</f>
        <v>-0.41000000000000014</v>
      </c>
      <c r="R5" s="10">
        <v>0.87469999999999981</v>
      </c>
      <c r="S5" s="8">
        <v>1.4142135623730951E-4</v>
      </c>
      <c r="T5" s="10">
        <f>M5/R5</f>
        <v>-0.42566039037073117</v>
      </c>
      <c r="U5" s="8">
        <f t="shared" si="8"/>
        <v>-0.76499867208040784</v>
      </c>
      <c r="V5" s="10">
        <f>SUM($T$2:T5)</f>
        <v>0.55175013047393717</v>
      </c>
      <c r="W5" s="8">
        <f>SQRT((U5^2)+(U4^2)+(U3^2)+(U2^2))</f>
        <v>1.4278066115043511</v>
      </c>
      <c r="X5" s="10">
        <f t="shared" si="9"/>
        <v>-6.2054190576213081E-3</v>
      </c>
      <c r="Y5" s="8">
        <f t="shared" si="10"/>
        <v>-1.1152405596016574E-2</v>
      </c>
      <c r="Z5" s="8">
        <f t="shared" si="11"/>
        <v>1.2437615057806178E-4</v>
      </c>
      <c r="AA5" s="10">
        <f>(C5-$AE$6)*24</f>
        <v>152.44999999995343</v>
      </c>
      <c r="AB5" s="16">
        <f t="shared" si="12"/>
        <v>0.99958123984938241</v>
      </c>
      <c r="AC5" s="10">
        <f t="shared" si="13"/>
        <v>-6.2080187284790827E-3</v>
      </c>
    </row>
    <row r="6" spans="1:31" x14ac:dyDescent="0.25">
      <c r="A6" s="18" t="s">
        <v>22</v>
      </c>
      <c r="B6" s="17">
        <v>43362.458333333336</v>
      </c>
      <c r="C6" s="11">
        <v>43362.875</v>
      </c>
      <c r="D6" s="12">
        <v>12.24</v>
      </c>
      <c r="E6" s="13">
        <v>5.28</v>
      </c>
      <c r="F6" s="8">
        <f t="shared" si="0"/>
        <v>0.64627199999999996</v>
      </c>
      <c r="G6" s="10">
        <f t="shared" si="1"/>
        <v>4.0600000000000005</v>
      </c>
      <c r="H6" s="8">
        <f t="shared" si="2"/>
        <v>0.83429000358628291</v>
      </c>
      <c r="I6" s="14">
        <f t="shared" si="3"/>
        <v>9.9999999999417923</v>
      </c>
      <c r="J6" s="15">
        <f t="shared" si="4"/>
        <v>1.6666666666666666E-2</v>
      </c>
      <c r="K6" s="10">
        <f>1-EXP(-$AE$3*I6)</f>
        <v>0.10675146332752661</v>
      </c>
      <c r="L6" s="8">
        <f t="shared" si="5"/>
        <v>1.7791910554691332E-4</v>
      </c>
      <c r="M6" s="10">
        <f>G6/((1+K6))</f>
        <v>3.6683936136784703</v>
      </c>
      <c r="N6" s="8">
        <f t="shared" si="6"/>
        <v>0.75384354296732825</v>
      </c>
      <c r="O6" s="10">
        <f>M6*K6</f>
        <v>0.39160638632153005</v>
      </c>
      <c r="P6" s="8">
        <f t="shared" si="7"/>
        <v>8.0476548032498652E-2</v>
      </c>
      <c r="Q6" s="10">
        <f>M6+O6</f>
        <v>4.0600000000000005</v>
      </c>
      <c r="R6" s="10">
        <v>0.78450000000000042</v>
      </c>
      <c r="S6" s="8">
        <v>1.4142135623730951E-4</v>
      </c>
      <c r="T6" s="10">
        <f>M6/R6</f>
        <v>4.6760912857596795</v>
      </c>
      <c r="U6" s="8">
        <f t="shared" si="8"/>
        <v>0.96092266797348813</v>
      </c>
      <c r="V6" s="10">
        <f>SUM($T$2:T6)</f>
        <v>5.2278414162336162</v>
      </c>
      <c r="W6" s="8">
        <f>SQRT((U6^2)+(U5^2)+(U4^2)+(U3^2)+(U2^2))</f>
        <v>1.7210473827529627</v>
      </c>
      <c r="X6" s="10">
        <f t="shared" si="9"/>
        <v>6.1139893561307841E-2</v>
      </c>
      <c r="Y6" s="8">
        <f t="shared" si="10"/>
        <v>1.2564059049455472E-2</v>
      </c>
      <c r="Z6" s="8">
        <f t="shared" si="11"/>
        <v>1.5785557979820393E-4</v>
      </c>
      <c r="AA6" s="10">
        <f>(C6-$AE$6)*24</f>
        <v>153</v>
      </c>
      <c r="AB6" s="16">
        <f t="shared" si="12"/>
        <v>0.99957972938904693</v>
      </c>
      <c r="AC6" s="10">
        <f t="shared" si="13"/>
        <v>6.1165599665248468E-2</v>
      </c>
      <c r="AE6" s="1">
        <v>43356.5</v>
      </c>
    </row>
    <row r="7" spans="1:31" x14ac:dyDescent="0.25">
      <c r="A7" s="18" t="s">
        <v>23</v>
      </c>
      <c r="B7" s="17">
        <v>43362.458333333336</v>
      </c>
      <c r="C7" s="11">
        <v>43362.897916666669</v>
      </c>
      <c r="D7" s="12">
        <v>82.88</v>
      </c>
      <c r="E7" s="13">
        <v>2.0299999999999998</v>
      </c>
      <c r="F7" s="8">
        <f t="shared" si="0"/>
        <v>1.6824639999999997</v>
      </c>
      <c r="G7" s="10">
        <f t="shared" si="1"/>
        <v>74.699999999999989</v>
      </c>
      <c r="H7" s="8">
        <f t="shared" si="2"/>
        <v>1.7632519455245184</v>
      </c>
      <c r="I7" s="14">
        <f t="shared" si="3"/>
        <v>10.549999999988358</v>
      </c>
      <c r="J7" s="15">
        <f t="shared" si="4"/>
        <v>1.6666666666666666E-2</v>
      </c>
      <c r="K7" s="10">
        <f>1-EXP(-$AE$3*I7)</f>
        <v>0.11228043709072633</v>
      </c>
      <c r="L7" s="8">
        <f t="shared" si="5"/>
        <v>1.773782576474727E-4</v>
      </c>
      <c r="M7" s="10">
        <f>G7/((1+K7))</f>
        <v>67.15932197403815</v>
      </c>
      <c r="N7" s="8">
        <f t="shared" si="6"/>
        <v>1.5888048508859165</v>
      </c>
      <c r="O7" s="10">
        <f>M7*K7</f>
        <v>7.5406780259618245</v>
      </c>
      <c r="P7" s="8">
        <f t="shared" si="7"/>
        <v>0.1787890093400378</v>
      </c>
      <c r="Q7" s="10">
        <f>M7+O7</f>
        <v>74.699999999999974</v>
      </c>
      <c r="R7" s="10">
        <v>0.78589999999999982</v>
      </c>
      <c r="S7" s="8">
        <v>1.4142135623730951E-4</v>
      </c>
      <c r="T7" s="10">
        <f>M7/R7</f>
        <v>85.455302168263344</v>
      </c>
      <c r="U7" s="8">
        <f t="shared" si="8"/>
        <v>2.0216959067645566</v>
      </c>
      <c r="V7" s="10">
        <f>SUM($T$2:T7)</f>
        <v>90.68314358449696</v>
      </c>
      <c r="W7" s="8">
        <f>SQRT((U7^2)+(U6^2)+(U5^2)+(U4^2)+(U3^2)+(U2^2))</f>
        <v>2.6550439606736056</v>
      </c>
      <c r="X7" s="10">
        <f t="shared" si="9"/>
        <v>1.1193220329006359</v>
      </c>
      <c r="Y7" s="8">
        <f t="shared" si="10"/>
        <v>2.6480080848098612E-2</v>
      </c>
      <c r="Z7" s="8">
        <f t="shared" si="11"/>
        <v>7.0119468172183885E-4</v>
      </c>
      <c r="AA7" s="10">
        <f>(C7-$AE$6)*24</f>
        <v>153.55000000004657</v>
      </c>
      <c r="AB7" s="16">
        <f t="shared" si="12"/>
        <v>0.99957821893099408</v>
      </c>
      <c r="AC7" s="10">
        <f t="shared" si="13"/>
        <v>1.1197943409548305</v>
      </c>
    </row>
    <row r="8" spans="1:31" x14ac:dyDescent="0.25">
      <c r="A8" s="18" t="s">
        <v>24</v>
      </c>
      <c r="B8" s="17">
        <v>43362.458333333336</v>
      </c>
      <c r="C8" s="11">
        <v>43362.92083333333</v>
      </c>
      <c r="D8" s="12">
        <v>234.15</v>
      </c>
      <c r="E8" s="13">
        <v>1.21</v>
      </c>
      <c r="F8" s="8">
        <f t="shared" si="0"/>
        <v>2.833215</v>
      </c>
      <c r="G8" s="10">
        <f t="shared" si="1"/>
        <v>225.97</v>
      </c>
      <c r="H8" s="8">
        <f t="shared" si="2"/>
        <v>2.8819228907666838</v>
      </c>
      <c r="I8" s="14">
        <f t="shared" si="3"/>
        <v>11.099999999860302</v>
      </c>
      <c r="J8" s="15">
        <f t="shared" si="4"/>
        <v>1.6666666666666666E-2</v>
      </c>
      <c r="K8" s="10">
        <f>1-EXP(-$AE$3*I8)</f>
        <v>0.11777518795719277</v>
      </c>
      <c r="L8" s="8">
        <f t="shared" si="5"/>
        <v>1.768396215595721E-4</v>
      </c>
      <c r="M8" s="10">
        <f>G8/((1+K8))</f>
        <v>202.16050815457348</v>
      </c>
      <c r="N8" s="8">
        <f t="shared" si="6"/>
        <v>2.5960739428129926</v>
      </c>
      <c r="O8" s="10">
        <f>M8*K8</f>
        <v>23.809491845426493</v>
      </c>
      <c r="P8" s="8">
        <f t="shared" si="7"/>
        <v>0.30783602401930493</v>
      </c>
      <c r="Q8" s="10">
        <f>M8+O8</f>
        <v>225.96999999999997</v>
      </c>
      <c r="R8" s="10">
        <v>0.83630000000000049</v>
      </c>
      <c r="S8" s="8">
        <v>1.4142135623730951E-4</v>
      </c>
      <c r="T8" s="10">
        <f>M8/R8</f>
        <v>241.73204370988086</v>
      </c>
      <c r="U8" s="8">
        <f t="shared" si="8"/>
        <v>3.1045067805358104</v>
      </c>
      <c r="V8" s="10">
        <f>SUM($T$2:T8)</f>
        <v>332.4151872943778</v>
      </c>
      <c r="W8" s="8">
        <f>SQRT((U8^2)+(U7^2)+(U6^2)+(U5^2)+(U4^2)+(U3^2)+(U2^2))</f>
        <v>4.0849994839047659</v>
      </c>
      <c r="X8" s="10">
        <f t="shared" si="9"/>
        <v>3.3693418025762245</v>
      </c>
      <c r="Y8" s="8">
        <f t="shared" si="10"/>
        <v>4.3267899046883211E-2</v>
      </c>
      <c r="Z8" s="8">
        <f t="shared" si="11"/>
        <v>1.8721110879312771E-3</v>
      </c>
      <c r="AA8" s="10">
        <f>(C8-$AE$6)*24</f>
        <v>154.09999999991851</v>
      </c>
      <c r="AB8" s="16">
        <f t="shared" si="12"/>
        <v>0.99957670847522406</v>
      </c>
      <c r="AC8" s="10">
        <f t="shared" si="13"/>
        <v>3.3707686203652059</v>
      </c>
      <c r="AE8" t="s">
        <v>15</v>
      </c>
    </row>
    <row r="9" spans="1:31" x14ac:dyDescent="0.25">
      <c r="A9" s="18" t="s">
        <v>25</v>
      </c>
      <c r="B9" s="17">
        <v>43362.458333333336</v>
      </c>
      <c r="C9" s="11">
        <v>43362.943749999999</v>
      </c>
      <c r="D9" s="12">
        <v>149.69</v>
      </c>
      <c r="E9" s="13">
        <v>1.51</v>
      </c>
      <c r="F9" s="8">
        <f t="shared" si="0"/>
        <v>2.260319</v>
      </c>
      <c r="G9" s="10">
        <f t="shared" si="1"/>
        <v>141.51</v>
      </c>
      <c r="H9" s="8">
        <f t="shared" si="2"/>
        <v>2.3210804152077542</v>
      </c>
      <c r="I9" s="14">
        <f t="shared" si="3"/>
        <v>11.649999999906868</v>
      </c>
      <c r="J9" s="15">
        <f t="shared" si="4"/>
        <v>1.6666666666666666E-2</v>
      </c>
      <c r="K9" s="10">
        <f>1-EXP(-$AE$3*I9)</f>
        <v>0.12323592776114389</v>
      </c>
      <c r="L9" s="8">
        <f t="shared" si="5"/>
        <v>1.763031870702848E-4</v>
      </c>
      <c r="M9" s="10">
        <f>G9/((1+K9))</f>
        <v>125.98421801024521</v>
      </c>
      <c r="N9" s="8">
        <f t="shared" si="6"/>
        <v>2.0742680949043817</v>
      </c>
      <c r="O9" s="10">
        <f>M9*K9</f>
        <v>15.525781989754783</v>
      </c>
      <c r="P9" s="8">
        <f t="shared" si="7"/>
        <v>0.25658752315566208</v>
      </c>
      <c r="Q9" s="10">
        <f>M9+O9</f>
        <v>141.51</v>
      </c>
      <c r="R9" s="10">
        <v>0.59340000000000082</v>
      </c>
      <c r="S9" s="8">
        <v>1.4142135623730951E-4</v>
      </c>
      <c r="T9" s="10">
        <f>M9/R9</f>
        <v>212.30909674796939</v>
      </c>
      <c r="U9" s="8">
        <f t="shared" si="8"/>
        <v>3.4959308894895433</v>
      </c>
      <c r="V9" s="10">
        <f>SUM($T$2:T9)</f>
        <v>544.72428404234722</v>
      </c>
      <c r="W9" s="8">
        <f>SQRT((U9^2)+(U8^2)+(U7^2)+(U6^2)+(U5^2)+(U4^2)+(U3^2)+(U2^2))</f>
        <v>5.3766861139171365</v>
      </c>
      <c r="X9" s="10">
        <f t="shared" si="9"/>
        <v>2.0997369668374204</v>
      </c>
      <c r="Y9" s="8">
        <f t="shared" si="10"/>
        <v>3.4571134915073028E-2</v>
      </c>
      <c r="Z9" s="8">
        <f t="shared" si="11"/>
        <v>1.1951633693161813E-3</v>
      </c>
      <c r="AA9" s="10">
        <f>(C9-$AE$6)*24</f>
        <v>154.64999999996508</v>
      </c>
      <c r="AB9" s="16">
        <f t="shared" si="12"/>
        <v>0.999575198021736</v>
      </c>
      <c r="AC9" s="10">
        <f t="shared" si="13"/>
        <v>2.1006293183274454</v>
      </c>
      <c r="AE9">
        <f>LN(2)/252288</f>
        <v>2.7474441137110973E-6</v>
      </c>
    </row>
    <row r="10" spans="1:31" x14ac:dyDescent="0.25">
      <c r="A10" s="18" t="s">
        <v>26</v>
      </c>
      <c r="B10" s="17">
        <v>43362.458333333336</v>
      </c>
      <c r="C10" s="11">
        <v>43362.966666666667</v>
      </c>
      <c r="D10" s="12">
        <v>107.41</v>
      </c>
      <c r="E10" s="13">
        <v>1.78</v>
      </c>
      <c r="F10" s="8">
        <f t="shared" si="0"/>
        <v>1.9118979999999999</v>
      </c>
      <c r="G10" s="10">
        <f t="shared" si="1"/>
        <v>99.22999999999999</v>
      </c>
      <c r="H10" s="8">
        <f t="shared" si="2"/>
        <v>1.9833623659089632</v>
      </c>
      <c r="I10" s="14">
        <f t="shared" si="3"/>
        <v>12.199999999953434</v>
      </c>
      <c r="J10" s="15">
        <f t="shared" si="4"/>
        <v>1.6666666666666666E-2</v>
      </c>
      <c r="K10" s="10">
        <f>1-EXP(-$AE$3*I10)</f>
        <v>0.12866286702038188</v>
      </c>
      <c r="L10" s="8">
        <f t="shared" si="5"/>
        <v>1.7576894401758603E-4</v>
      </c>
      <c r="M10" s="10">
        <f>G10/((1+K10))</f>
        <v>87.918193199677617</v>
      </c>
      <c r="N10" s="8">
        <f t="shared" si="6"/>
        <v>1.7613671011509675</v>
      </c>
      <c r="O10" s="10">
        <f>M10*K10</f>
        <v>11.311806800322364</v>
      </c>
      <c r="P10" s="8">
        <f t="shared" si="7"/>
        <v>0.22714880639849469</v>
      </c>
      <c r="Q10" s="10">
        <f>M10+O10</f>
        <v>99.229999999999976</v>
      </c>
      <c r="R10" s="10">
        <v>0.80389999999999961</v>
      </c>
      <c r="S10" s="8">
        <v>1.4142135623730951E-4</v>
      </c>
      <c r="T10" s="10">
        <f>M10/R10</f>
        <v>109.36458912760003</v>
      </c>
      <c r="U10" s="8">
        <f t="shared" si="8"/>
        <v>2.1911120849934531</v>
      </c>
      <c r="V10" s="10">
        <f>SUM($T$2:T10)</f>
        <v>654.08887316994719</v>
      </c>
      <c r="W10" s="8">
        <f>SQRT((U10^2)+(U9^2)+(U8^2)+(U7^2)+(U6^2)+(U5^2)+(U4^2)+(U3^2)+(U2^2))</f>
        <v>5.806007727913709</v>
      </c>
      <c r="X10" s="10">
        <f t="shared" si="9"/>
        <v>1.465303219994627</v>
      </c>
      <c r="Y10" s="8">
        <f t="shared" si="10"/>
        <v>2.9356118352516124E-2</v>
      </c>
      <c r="Z10" s="8">
        <f t="shared" si="11"/>
        <v>8.6178168472693406E-4</v>
      </c>
      <c r="AA10" s="10">
        <f>(C10-$AE$6)*24</f>
        <v>155.20000000001164</v>
      </c>
      <c r="AB10" s="16">
        <f t="shared" si="12"/>
        <v>0.99957368757053033</v>
      </c>
      <c r="AC10" s="10">
        <f t="shared" si="13"/>
        <v>1.4659281633913903</v>
      </c>
    </row>
    <row r="11" spans="1:31" x14ac:dyDescent="0.25">
      <c r="A11" s="18" t="s">
        <v>27</v>
      </c>
      <c r="B11" s="17">
        <v>43362.458333333336</v>
      </c>
      <c r="C11" s="11">
        <v>43362.989583333336</v>
      </c>
      <c r="D11" s="12">
        <v>51.76</v>
      </c>
      <c r="E11" s="13">
        <v>2.57</v>
      </c>
      <c r="F11" s="8">
        <f t="shared" si="0"/>
        <v>1.3302319999999999</v>
      </c>
      <c r="G11" s="10">
        <f t="shared" si="1"/>
        <v>43.58</v>
      </c>
      <c r="H11" s="8">
        <f t="shared" si="2"/>
        <v>1.4310448930498301</v>
      </c>
      <c r="I11" s="14">
        <f t="shared" si="3"/>
        <v>12.75</v>
      </c>
      <c r="J11" s="15">
        <f t="shared" si="4"/>
        <v>1.6666666666666666E-2</v>
      </c>
      <c r="K11" s="10">
        <f>1-EXP(-$AE$3*I11)</f>
        <v>0.1340562149513983</v>
      </c>
      <c r="L11" s="8">
        <f t="shared" si="5"/>
        <v>1.7523688228940953E-4</v>
      </c>
      <c r="M11" s="10">
        <f>G11/((1+K11))</f>
        <v>38.428430112582816</v>
      </c>
      <c r="N11" s="8">
        <f t="shared" si="6"/>
        <v>1.2628812474441415</v>
      </c>
      <c r="O11" s="10">
        <f>M11*K11</f>
        <v>5.1515698874171889</v>
      </c>
      <c r="P11" s="8">
        <f t="shared" si="7"/>
        <v>0.16943095672034017</v>
      </c>
      <c r="Q11" s="10">
        <f>M11+O11</f>
        <v>43.580000000000005</v>
      </c>
      <c r="R11" s="10">
        <v>0.81039999999999957</v>
      </c>
      <c r="S11" s="8">
        <v>1.4142135623730951E-4</v>
      </c>
      <c r="T11" s="10">
        <f>M11/R11</f>
        <v>47.419089477520778</v>
      </c>
      <c r="U11" s="8">
        <f t="shared" si="8"/>
        <v>1.5583650695924245</v>
      </c>
      <c r="V11" s="10">
        <f>SUM($T$2:T11)</f>
        <v>701.50796264746793</v>
      </c>
      <c r="W11" s="8">
        <f>SQRT((U11^2)+(U10^2)+(U9^2)+(U8^2)+(U7^2)+(U6^2)+(U5^2)+(U4^2)+(U3^2)+(U2^2))</f>
        <v>6.0115079162153249</v>
      </c>
      <c r="X11" s="10">
        <f t="shared" si="9"/>
        <v>0.64047383520971357</v>
      </c>
      <c r="Y11" s="8">
        <f t="shared" si="10"/>
        <v>2.1048020790735689E-2</v>
      </c>
      <c r="Z11" s="8">
        <f t="shared" si="11"/>
        <v>4.4301917920724183E-4</v>
      </c>
      <c r="AA11" s="10">
        <f>(C11-$AE$6)*24</f>
        <v>155.75000000005821</v>
      </c>
      <c r="AB11" s="16">
        <f t="shared" si="12"/>
        <v>0.99957217712160717</v>
      </c>
      <c r="AC11" s="10">
        <f t="shared" si="13"/>
        <v>0.64074796184707528</v>
      </c>
    </row>
    <row r="12" spans="1:31" x14ac:dyDescent="0.25">
      <c r="A12" s="18" t="s">
        <v>28</v>
      </c>
      <c r="B12" s="17">
        <v>43362.458333333336</v>
      </c>
      <c r="C12" s="11">
        <v>43363.011111111111</v>
      </c>
      <c r="D12" s="12">
        <v>24.8</v>
      </c>
      <c r="E12" s="13">
        <v>3.71</v>
      </c>
      <c r="F12" s="8">
        <f t="shared" si="0"/>
        <v>0.92008000000000001</v>
      </c>
      <c r="G12" s="10">
        <f t="shared" si="1"/>
        <v>16.62</v>
      </c>
      <c r="H12" s="8">
        <f t="shared" si="2"/>
        <v>1.0606222317583203</v>
      </c>
      <c r="I12" s="14">
        <f t="shared" si="3"/>
        <v>13.266666666604578</v>
      </c>
      <c r="J12" s="15">
        <f t="shared" si="4"/>
        <v>1.6666666666666666E-2</v>
      </c>
      <c r="K12" s="10">
        <f>1-EXP(-$AE$3*I12)</f>
        <v>0.13909227963917181</v>
      </c>
      <c r="L12" s="8">
        <f t="shared" si="5"/>
        <v>1.7473904477364669E-4</v>
      </c>
      <c r="M12" s="10">
        <f>G12/((1+K12))</f>
        <v>14.590565046463741</v>
      </c>
      <c r="N12" s="8">
        <f t="shared" si="6"/>
        <v>0.93129217588119306</v>
      </c>
      <c r="O12" s="10">
        <f>M12*K12</f>
        <v>2.0294349535362604</v>
      </c>
      <c r="P12" s="8">
        <f t="shared" si="7"/>
        <v>0.12956063958399128</v>
      </c>
      <c r="Q12" s="10">
        <f>M12+O12</f>
        <v>16.62</v>
      </c>
      <c r="R12" s="10">
        <v>0.79479999999999951</v>
      </c>
      <c r="S12" s="8">
        <v>1.4142135623730951E-4</v>
      </c>
      <c r="T12" s="10">
        <f>M12/R12</f>
        <v>18.357530254735469</v>
      </c>
      <c r="U12" s="8">
        <f t="shared" si="8"/>
        <v>1.1717360272906334</v>
      </c>
      <c r="V12" s="10">
        <f>SUM($T$2:T12)</f>
        <v>719.86549290220341</v>
      </c>
      <c r="W12" s="8">
        <f>SQRT((U12^2)+(U11^2)+(U10^2)+(U9^2)+(U8^2)+(U7^2)+(U6^2)+(U5^2)+(U4^2)+(U3^2)+(U2^2))</f>
        <v>6.1246381725266312</v>
      </c>
      <c r="X12" s="10">
        <f t="shared" si="9"/>
        <v>0.24317608410772901</v>
      </c>
      <c r="Y12" s="8">
        <f t="shared" si="10"/>
        <v>1.5521536264686551E-2</v>
      </c>
      <c r="Z12" s="8">
        <f t="shared" si="11"/>
        <v>2.4091808801597974E-4</v>
      </c>
      <c r="AA12" s="10">
        <f>(C12-$AE$6)*24</f>
        <v>156.26666666666279</v>
      </c>
      <c r="AB12" s="16">
        <f t="shared" si="12"/>
        <v>0.99957075821712238</v>
      </c>
      <c r="AC12" s="10">
        <f t="shared" si="13"/>
        <v>0.24328051026769568</v>
      </c>
    </row>
    <row r="13" spans="1:31" x14ac:dyDescent="0.25">
      <c r="A13" s="18" t="s">
        <v>29</v>
      </c>
      <c r="B13" s="17">
        <v>43362.458333333336</v>
      </c>
      <c r="C13" s="11">
        <v>43363.03402777778</v>
      </c>
      <c r="D13" s="12">
        <v>17.29</v>
      </c>
      <c r="E13" s="13">
        <v>4.4400000000000004</v>
      </c>
      <c r="F13" s="8">
        <f t="shared" si="0"/>
        <v>0.76767600000000003</v>
      </c>
      <c r="G13" s="10">
        <f t="shared" si="1"/>
        <v>9.11</v>
      </c>
      <c r="H13" s="8">
        <f t="shared" si="2"/>
        <v>0.93150349064080273</v>
      </c>
      <c r="I13" s="14">
        <f t="shared" si="3"/>
        <v>13.816666666651145</v>
      </c>
      <c r="J13" s="15">
        <f t="shared" si="4"/>
        <v>1.6666666666666666E-2</v>
      </c>
      <c r="K13" s="10">
        <f>1-EXP(-$AE$3*I13)</f>
        <v>0.14442107224614631</v>
      </c>
      <c r="L13" s="8">
        <f t="shared" si="5"/>
        <v>1.7421118485682577E-4</v>
      </c>
      <c r="M13" s="10">
        <f>G13/((1+K13))</f>
        <v>7.9603567436239819</v>
      </c>
      <c r="N13" s="8">
        <f t="shared" si="6"/>
        <v>0.8140083502496942</v>
      </c>
      <c r="O13" s="10">
        <f>M13*K13</f>
        <v>1.1496432563760171</v>
      </c>
      <c r="P13" s="8">
        <f t="shared" si="7"/>
        <v>0.11756813799380554</v>
      </c>
      <c r="Q13" s="10">
        <f>M13+O13</f>
        <v>9.11</v>
      </c>
      <c r="R13" s="10">
        <v>0.81979999999999986</v>
      </c>
      <c r="S13" s="8">
        <v>1.4142135623730951E-4</v>
      </c>
      <c r="T13" s="10">
        <f>M13/R13</f>
        <v>9.7101204484313044</v>
      </c>
      <c r="U13" s="8">
        <f t="shared" si="8"/>
        <v>0.99293670230184328</v>
      </c>
      <c r="V13" s="10">
        <f>SUM($T$2:T13)</f>
        <v>729.57561335063474</v>
      </c>
      <c r="W13" s="8">
        <f>SQRT((U13^2)+(U12^2)+(U11^2)+(U10^2)+(U9^2)+(U8^2)+(U7^2)+(U6^2)+(U5^2)+(U4^2)+(U3^2)+(U2^2))</f>
        <v>6.2046044224550219</v>
      </c>
      <c r="X13" s="10">
        <f t="shared" si="9"/>
        <v>0.13267261239373304</v>
      </c>
      <c r="Y13" s="8">
        <f t="shared" si="10"/>
        <v>1.3566805837494905E-2</v>
      </c>
      <c r="Z13" s="8">
        <f t="shared" si="11"/>
        <v>1.8405822063228582E-4</v>
      </c>
      <c r="AA13" s="10">
        <f>(C13-$AE$6)*24</f>
        <v>156.81666666670935</v>
      </c>
      <c r="AB13" s="16">
        <f t="shared" si="12"/>
        <v>0.99956924777262568</v>
      </c>
      <c r="AC13" s="10">
        <f t="shared" si="13"/>
        <v>0.13272978604471072</v>
      </c>
    </row>
    <row r="14" spans="1:31" x14ac:dyDescent="0.25">
      <c r="A14" s="18" t="s">
        <v>30</v>
      </c>
      <c r="B14" s="17">
        <v>43362.458333333336</v>
      </c>
      <c r="C14" s="11">
        <v>43363.056944502314</v>
      </c>
      <c r="D14" s="12">
        <v>13.3</v>
      </c>
      <c r="E14" s="13">
        <v>5.0599999999999996</v>
      </c>
      <c r="F14" s="8">
        <f t="shared" si="0"/>
        <v>0.67298000000000002</v>
      </c>
      <c r="G14" s="10">
        <f t="shared" si="1"/>
        <v>5.120000000000001</v>
      </c>
      <c r="H14" s="8">
        <f t="shared" si="2"/>
        <v>0.85514583113057396</v>
      </c>
      <c r="I14" s="14">
        <f t="shared" si="3"/>
        <v>14.366668055474292</v>
      </c>
      <c r="J14" s="15">
        <f t="shared" si="4"/>
        <v>1.6666666666666666E-2</v>
      </c>
      <c r="K14" s="10">
        <f>1-EXP(-$AE$3*I14)</f>
        <v>0.14971689435759339</v>
      </c>
      <c r="L14" s="8">
        <f t="shared" si="5"/>
        <v>1.7368547550423503E-4</v>
      </c>
      <c r="M14" s="10">
        <f>G14/((1+K14))</f>
        <v>4.453270213847567</v>
      </c>
      <c r="N14" s="8">
        <f t="shared" si="6"/>
        <v>0.7438061169526935</v>
      </c>
      <c r="O14" s="10">
        <f>M14*K14</f>
        <v>0.6667297861524335</v>
      </c>
      <c r="P14" s="8">
        <f t="shared" si="7"/>
        <v>0.11136302791661279</v>
      </c>
      <c r="Q14" s="10">
        <f>M14+O14</f>
        <v>5.120000000000001</v>
      </c>
      <c r="R14" s="10">
        <v>0.81090000000000018</v>
      </c>
      <c r="S14" s="8">
        <v>1.4142135623730951E-4</v>
      </c>
      <c r="T14" s="10">
        <f>M14/R14</f>
        <v>5.4917625032033124</v>
      </c>
      <c r="U14" s="8">
        <f t="shared" si="8"/>
        <v>0.9172604790076111</v>
      </c>
      <c r="V14" s="10">
        <f>SUM($T$2:T14)</f>
        <v>735.06737585383803</v>
      </c>
      <c r="W14" s="8">
        <f>SQRT((U14^2)+(U13^2)+(U12^2)+(U11^2)+(U10^2)+(U9^2)+(U8^2)+(U7^2)+(U6^2)+(U5^2)+(U4^2)+(U3^2)+(U2^2))</f>
        <v>6.2720397659372091</v>
      </c>
      <c r="X14" s="10">
        <f t="shared" si="9"/>
        <v>7.4221170230792791E-2</v>
      </c>
      <c r="Y14" s="8">
        <f t="shared" si="10"/>
        <v>1.2396768615878226E-2</v>
      </c>
      <c r="Z14" s="8">
        <f t="shared" si="11"/>
        <v>1.5367987211562333E-4</v>
      </c>
      <c r="AA14" s="10">
        <f>(C14-$AE$6)*24</f>
        <v>157.3666680555325</v>
      </c>
      <c r="AB14" s="16">
        <f t="shared" si="12"/>
        <v>0.99956773732659754</v>
      </c>
      <c r="AC14" s="10">
        <f t="shared" si="13"/>
        <v>7.425326714655843E-2</v>
      </c>
    </row>
    <row r="15" spans="1:31" x14ac:dyDescent="0.25">
      <c r="A15" s="18" t="s">
        <v>31</v>
      </c>
      <c r="B15" s="17">
        <v>43362.458333333336</v>
      </c>
      <c r="C15" s="11">
        <v>43363.079861226855</v>
      </c>
      <c r="D15" s="12">
        <v>10.029999999999999</v>
      </c>
      <c r="E15" s="13">
        <v>5.83</v>
      </c>
      <c r="F15" s="8">
        <f t="shared" si="0"/>
        <v>0.58474899999999996</v>
      </c>
      <c r="G15" s="10">
        <f t="shared" si="1"/>
        <v>1.8499999999999996</v>
      </c>
      <c r="H15" s="8">
        <f t="shared" si="2"/>
        <v>0.78759361672184725</v>
      </c>
      <c r="I15" s="14">
        <f t="shared" si="3"/>
        <v>14.916669444472063</v>
      </c>
      <c r="J15" s="15">
        <f t="shared" si="4"/>
        <v>1.6666666666666666E-2</v>
      </c>
      <c r="K15" s="10">
        <f>1-EXP(-$AE$3*I15)</f>
        <v>0.154979936640668</v>
      </c>
      <c r="L15" s="8">
        <f t="shared" si="5"/>
        <v>1.7316190813414863E-4</v>
      </c>
      <c r="M15" s="10">
        <f>G15/((1+K15))</f>
        <v>1.601759425692572</v>
      </c>
      <c r="N15" s="8">
        <f t="shared" si="6"/>
        <v>0.68191342914454378</v>
      </c>
      <c r="O15" s="10">
        <f>M15*K15</f>
        <v>0.24824057430742758</v>
      </c>
      <c r="P15" s="8">
        <f t="shared" si="7"/>
        <v>0.10568326401177361</v>
      </c>
      <c r="Q15" s="10">
        <f>M15+O15</f>
        <v>1.8499999999999996</v>
      </c>
      <c r="R15" s="10">
        <v>0.78160000000000007</v>
      </c>
      <c r="S15" s="8">
        <v>1.4142135623730951E-4</v>
      </c>
      <c r="T15" s="10">
        <f>M15/R15</f>
        <v>2.0493339632709464</v>
      </c>
      <c r="U15" s="8">
        <f t="shared" si="8"/>
        <v>0.87245840677144237</v>
      </c>
      <c r="V15" s="10">
        <f>SUM($T$2:T15)</f>
        <v>737.11670981710893</v>
      </c>
      <c r="W15" s="8">
        <f>SQRT((U15^2)+(U14^2)+(U13^2)+(U12^2)+(U11^2)+(U10^2)+(U9^2)+(U8^2)+(U7^2)+(U6^2)+(U5^2)+(U4^2)+(U3^2)+(U2^2))</f>
        <v>6.3324297467120667</v>
      </c>
      <c r="X15" s="10">
        <f t="shared" si="9"/>
        <v>2.6695990428209533E-2</v>
      </c>
      <c r="Y15" s="8">
        <f t="shared" si="10"/>
        <v>1.136522381907573E-2</v>
      </c>
      <c r="Z15" s="8">
        <f t="shared" si="11"/>
        <v>1.2916831245768631E-4</v>
      </c>
      <c r="AA15" s="10">
        <f>(C15-$AE$6)*24</f>
        <v>157.91666944453027</v>
      </c>
      <c r="AB15" s="16">
        <f t="shared" si="12"/>
        <v>0.99956622688285135</v>
      </c>
      <c r="AC15" s="10">
        <f t="shared" si="13"/>
        <v>2.6707575456466768E-2</v>
      </c>
    </row>
    <row r="16" spans="1:31" x14ac:dyDescent="0.25">
      <c r="A16" s="18" t="s">
        <v>32</v>
      </c>
      <c r="B16" s="17">
        <v>43362.458333333336</v>
      </c>
      <c r="C16" s="11">
        <v>43363.10277795139</v>
      </c>
      <c r="D16" s="12">
        <v>8.6999999999999993</v>
      </c>
      <c r="E16" s="13">
        <v>6.26</v>
      </c>
      <c r="F16" s="8">
        <f t="shared" si="0"/>
        <v>0.54461999999999999</v>
      </c>
      <c r="G16" s="10">
        <f t="shared" si="1"/>
        <v>0.51999999999999957</v>
      </c>
      <c r="H16" s="8">
        <f t="shared" si="2"/>
        <v>0.75827650398782631</v>
      </c>
      <c r="I16" s="14">
        <f t="shared" si="3"/>
        <v>15.466670833295211</v>
      </c>
      <c r="J16" s="15">
        <f t="shared" si="4"/>
        <v>1.6666666666666666E-2</v>
      </c>
      <c r="K16" s="10">
        <f>1-EXP(-$AE$3*I16)</f>
        <v>0.16021040199107484</v>
      </c>
      <c r="L16" s="8">
        <f t="shared" si="5"/>
        <v>1.7264047287861151E-4</v>
      </c>
      <c r="M16" s="10">
        <f>G16/((1+K16))</f>
        <v>0.44819456807800606</v>
      </c>
      <c r="N16" s="8">
        <f t="shared" si="6"/>
        <v>0.65356827496620407</v>
      </c>
      <c r="O16" s="10">
        <f>M16*K16</f>
        <v>7.1805431921993512E-2</v>
      </c>
      <c r="P16" s="8">
        <f t="shared" si="7"/>
        <v>0.10470846465045702</v>
      </c>
      <c r="Q16" s="10">
        <f>M16+O16</f>
        <v>0.51999999999999957</v>
      </c>
      <c r="R16" s="10">
        <v>0.83029999999999937</v>
      </c>
      <c r="S16" s="8">
        <v>1.4142135623730951E-4</v>
      </c>
      <c r="T16" s="10">
        <f>M16/R16</f>
        <v>0.5397983476791598</v>
      </c>
      <c r="U16" s="8">
        <f>T16*SQRT(((S16/R16)^2)+((N16/M16)^2))</f>
        <v>0.78714715093885801</v>
      </c>
      <c r="V16" s="10">
        <f>SUM($T$2:T16)</f>
        <v>737.65650816478808</v>
      </c>
      <c r="W16" s="8">
        <f>SQRT((U16^2)+(U15^2)+(U14^2)+(U13^2)+(U12^2)+(U11^2)+(U10^2)+(U9^2)+(U8^2)+(U7^2)+(U6^2)+(U5^2)+(U4^2)+(U3^2)+(U2^2))</f>
        <v>6.381165029543979</v>
      </c>
      <c r="X16" s="10">
        <f t="shared" si="9"/>
        <v>7.469909467966768E-3</v>
      </c>
      <c r="Y16" s="8">
        <f t="shared" si="10"/>
        <v>1.0892804582770069E-2</v>
      </c>
      <c r="Z16" s="8">
        <f t="shared" si="11"/>
        <v>1.1865319167841662E-4</v>
      </c>
      <c r="AA16" s="10">
        <f>(C16-$AE$6)*24</f>
        <v>158.46667083335342</v>
      </c>
      <c r="AB16" s="16">
        <f t="shared" si="12"/>
        <v>0.999564716441388</v>
      </c>
      <c r="AC16" s="10">
        <f t="shared" si="13"/>
        <v>7.4731624126958517E-3</v>
      </c>
    </row>
    <row r="17" spans="1:29" ht="15.75" thickBot="1" x14ac:dyDescent="0.3">
      <c r="A17" s="19" t="s">
        <v>10</v>
      </c>
      <c r="B17" s="17">
        <v>43362.458333333336</v>
      </c>
      <c r="C17" s="11">
        <v>43363.125694444447</v>
      </c>
      <c r="D17" s="12">
        <v>8.18</v>
      </c>
      <c r="E17" s="13">
        <v>6.45</v>
      </c>
      <c r="F17" s="8">
        <f t="shared" si="0"/>
        <v>0.52761000000000002</v>
      </c>
      <c r="G17" s="10">
        <f t="shared" si="1"/>
        <v>0</v>
      </c>
      <c r="H17" s="8">
        <f t="shared" si="2"/>
        <v>0.74615321764366871</v>
      </c>
      <c r="I17" s="14">
        <f t="shared" si="3"/>
        <v>16.016666666662786</v>
      </c>
      <c r="J17" s="15">
        <f t="shared" si="4"/>
        <v>1.6666666666666666E-2</v>
      </c>
      <c r="K17" s="10">
        <f>1-EXP(-$AE$3*I17)</f>
        <v>0.16540843971158981</v>
      </c>
      <c r="L17" s="8">
        <f t="shared" si="5"/>
        <v>1.7212116515258051E-4</v>
      </c>
      <c r="M17" s="10">
        <f>G17/((1+K17))</f>
        <v>0</v>
      </c>
      <c r="N17" s="8" t="e">
        <f t="shared" si="6"/>
        <v>#DIV/0!</v>
      </c>
      <c r="O17" s="10">
        <f>M17*K17</f>
        <v>0</v>
      </c>
      <c r="P17" s="8" t="e">
        <f t="shared" si="7"/>
        <v>#DIV/0!</v>
      </c>
      <c r="Q17" s="10">
        <f>M17+O17</f>
        <v>0</v>
      </c>
      <c r="R17" s="10"/>
      <c r="S17" s="8">
        <v>1E-4</v>
      </c>
      <c r="T17" s="10"/>
      <c r="U17" s="8" t="e">
        <f t="shared" si="8"/>
        <v>#DIV/0!</v>
      </c>
      <c r="V17" s="10"/>
      <c r="W17" s="8"/>
      <c r="X17" s="10">
        <f t="shared" si="9"/>
        <v>0</v>
      </c>
      <c r="Y17" s="8"/>
      <c r="Z17" s="8"/>
      <c r="AA17" s="10"/>
      <c r="AB17" s="10"/>
      <c r="AC17" s="10"/>
    </row>
    <row r="22" spans="1:29" x14ac:dyDescent="0.25">
      <c r="Y22" s="9" t="s">
        <v>48</v>
      </c>
    </row>
    <row r="23" spans="1:29" x14ac:dyDescent="0.25">
      <c r="W23" s="6" t="s">
        <v>49</v>
      </c>
      <c r="X23" s="3">
        <f>SUM(X2:X17)</f>
        <v>9.2497148658704873</v>
      </c>
      <c r="Y23" s="6">
        <f>SQRT(SUM(Z2:Z16))</f>
        <v>8.1126416905706808E-2</v>
      </c>
      <c r="AB23" s="3"/>
      <c r="AC23">
        <f>SUM(AC2:AC16)</f>
        <v>9.2536438599961741</v>
      </c>
    </row>
    <row r="27" spans="1:29" x14ac:dyDescent="0.25">
      <c r="G27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CT31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2021-06-15T15:35:00Z</dcterms:modified>
</cp:coreProperties>
</file>